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<sst xmlns="http://schemas.openxmlformats.org/spreadsheetml/2006/main" count="1600" uniqueCount="315">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</sst>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536527.11</v>
      </c>
      <c r="G8" s="18">
        <f aca="true" t="shared" si="0" ref="G8:G54">F8-E8</f>
        <v>33001.639999999956</v>
      </c>
      <c r="H8" s="45">
        <f>F8/E8*100</f>
        <v>106.5541153260827</v>
      </c>
      <c r="I8" s="31">
        <f aca="true" t="shared" si="1" ref="I8:I54">F8-D8</f>
        <v>-35761.890000000014</v>
      </c>
      <c r="J8" s="31">
        <f aca="true" t="shared" si="2" ref="J8:J14">F8/D8*100</f>
        <v>93.75107856345308</v>
      </c>
      <c r="K8" s="18">
        <f>K9+K15+K18+K19+K20+K32</f>
        <v>135302.26799999998</v>
      </c>
      <c r="L8" s="18"/>
      <c r="M8" s="18">
        <f>M9+M15+M18+M19+M20+M32+M17</f>
        <v>44772.97000000001</v>
      </c>
      <c r="N8" s="18">
        <f>N9+N15+N18+N19+N20+N32+N17</f>
        <v>55647.86000000003</v>
      </c>
      <c r="O8" s="31">
        <f aca="true" t="shared" si="3" ref="O8:O54">N8-M8</f>
        <v>10874.890000000021</v>
      </c>
      <c r="P8" s="31">
        <f>F8/M8*100</f>
        <v>1198.3281654087273</v>
      </c>
      <c r="Q8" s="31">
        <f>N8-33748.16</f>
        <v>21899.700000000026</v>
      </c>
      <c r="R8" s="125">
        <f>N8/33748.16</f>
        <v>1.648915377905048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293491.93</v>
      </c>
      <c r="G9" s="43">
        <f t="shared" si="0"/>
        <v>23626.809999999998</v>
      </c>
      <c r="H9" s="35">
        <f aca="true" t="shared" si="4" ref="H9:H32">F9/E9*100</f>
        <v>108.75504400124032</v>
      </c>
      <c r="I9" s="50">
        <f t="shared" si="1"/>
        <v>-19198.070000000007</v>
      </c>
      <c r="J9" s="50">
        <f t="shared" si="2"/>
        <v>93.8603505068918</v>
      </c>
      <c r="K9" s="132">
        <f>F9-316022.19/75*60</f>
        <v>40674.177999999985</v>
      </c>
      <c r="L9" s="132">
        <f>F9/(316022.19/75*60)*100</f>
        <v>116.0883393979391</v>
      </c>
      <c r="M9" s="35">
        <f>E9-вересень!E9</f>
        <v>21250.570000000007</v>
      </c>
      <c r="N9" s="35">
        <f>F9-вересень!F9</f>
        <v>29116.52000000002</v>
      </c>
      <c r="O9" s="47">
        <f t="shared" si="3"/>
        <v>7865.950000000012</v>
      </c>
      <c r="P9" s="50">
        <f aca="true" t="shared" si="5" ref="P9:P32">N9/M9*100</f>
        <v>137.01524241467408</v>
      </c>
      <c r="Q9" s="132">
        <f>N9-26568.11</f>
        <v>2548.410000000018</v>
      </c>
      <c r="R9" s="133">
        <f>N9/26568.11</f>
        <v>1.0959198828972034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259957.98</v>
      </c>
      <c r="G10" s="135">
        <f t="shared" si="0"/>
        <v>23997.160000000003</v>
      </c>
      <c r="H10" s="137">
        <f t="shared" si="4"/>
        <v>110.1699765240687</v>
      </c>
      <c r="I10" s="136">
        <f t="shared" si="1"/>
        <v>19547.98000000001</v>
      </c>
      <c r="J10" s="136">
        <f t="shared" si="2"/>
        <v>108.13110103573062</v>
      </c>
      <c r="K10" s="138">
        <f>F10-281171.58/75*60</f>
        <v>35020.716000000015</v>
      </c>
      <c r="L10" s="138">
        <f>F10/(281171.58/75*60)*100</f>
        <v>115.56910374796772</v>
      </c>
      <c r="M10" s="137">
        <f>E10-вересень!E10</f>
        <v>17470.570000000007</v>
      </c>
      <c r="N10" s="137">
        <f>F10-вересень!F10</f>
        <v>26021.5</v>
      </c>
      <c r="O10" s="138">
        <f t="shared" si="3"/>
        <v>8550.929999999993</v>
      </c>
      <c r="P10" s="136">
        <f t="shared" si="5"/>
        <v>148.94476825884897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15742.65</v>
      </c>
      <c r="G11" s="135">
        <f t="shared" si="0"/>
        <v>-3175.250000000002</v>
      </c>
      <c r="H11" s="137">
        <f t="shared" si="4"/>
        <v>83.21563175616743</v>
      </c>
      <c r="I11" s="136">
        <f t="shared" si="1"/>
        <v>-7957.35</v>
      </c>
      <c r="J11" s="136">
        <f t="shared" si="2"/>
        <v>66.4246835443038</v>
      </c>
      <c r="K11" s="138">
        <f>F11-21169.22/75*60</f>
        <v>-1192.7260000000042</v>
      </c>
      <c r="L11" s="138">
        <f>F11/(21169.22/75*60)*100</f>
        <v>92.95719209304828</v>
      </c>
      <c r="M11" s="137">
        <f>E11-вересень!E11</f>
        <v>2130</v>
      </c>
      <c r="N11" s="137">
        <f>F11-вересень!F11</f>
        <v>1739.9599999999991</v>
      </c>
      <c r="O11" s="138">
        <f t="shared" si="3"/>
        <v>-390.0400000000009</v>
      </c>
      <c r="P11" s="136">
        <f t="shared" si="5"/>
        <v>81.68826291079809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4157.06</v>
      </c>
      <c r="G12" s="135">
        <f t="shared" si="0"/>
        <v>-291.9399999999996</v>
      </c>
      <c r="H12" s="137">
        <f t="shared" si="4"/>
        <v>93.43807597212857</v>
      </c>
      <c r="I12" s="136">
        <f t="shared" si="1"/>
        <v>-1642.9399999999996</v>
      </c>
      <c r="J12" s="136">
        <f t="shared" si="2"/>
        <v>71.67344827586207</v>
      </c>
      <c r="K12" s="138">
        <f>F12-5687.46/75*60</f>
        <v>-392.90800000000036</v>
      </c>
      <c r="L12" s="138">
        <f>F12/(5687.46*60)*100</f>
        <v>1.2181946481088808</v>
      </c>
      <c r="M12" s="137">
        <f>E12-вересень!E12</f>
        <v>540</v>
      </c>
      <c r="N12" s="137">
        <f>F12-вересень!F12</f>
        <v>412.4200000000005</v>
      </c>
      <c r="O12" s="138">
        <f t="shared" si="3"/>
        <v>-127.57999999999947</v>
      </c>
      <c r="P12" s="136">
        <f t="shared" si="5"/>
        <v>76.37407407407417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6071.27</v>
      </c>
      <c r="G13" s="135">
        <f t="shared" si="0"/>
        <v>-872.1299999999992</v>
      </c>
      <c r="H13" s="137">
        <f t="shared" si="4"/>
        <v>87.43943889160931</v>
      </c>
      <c r="I13" s="136">
        <f t="shared" si="1"/>
        <v>-2328.7299999999996</v>
      </c>
      <c r="J13" s="136">
        <f t="shared" si="2"/>
        <v>72.27702380952381</v>
      </c>
      <c r="K13" s="138">
        <f>F13-7878.81/75*60</f>
        <v>-231.77800000000025</v>
      </c>
      <c r="L13" s="138">
        <f>F13/(7878.81/75*60)*100</f>
        <v>96.32276320916483</v>
      </c>
      <c r="M13" s="137">
        <f>E13-вересень!E13</f>
        <v>720</v>
      </c>
      <c r="N13" s="137">
        <f>F13-вересень!F13</f>
        <v>341.03000000000065</v>
      </c>
      <c r="O13" s="138">
        <f t="shared" si="3"/>
        <v>-378.96999999999935</v>
      </c>
      <c r="P13" s="136">
        <f t="shared" si="5"/>
        <v>47.36527777777787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-606.6</v>
      </c>
      <c r="G15" s="43">
        <f t="shared" si="0"/>
        <v>-778</v>
      </c>
      <c r="H15" s="35"/>
      <c r="I15" s="50">
        <f t="shared" si="1"/>
        <v>-606.6</v>
      </c>
      <c r="J15" s="50" t="e">
        <f>F15/D15*100</f>
        <v>#DIV/0!</v>
      </c>
      <c r="K15" s="53">
        <f>F15-(-880.89)</f>
        <v>274.28999999999996</v>
      </c>
      <c r="L15" s="53">
        <f>F15/(-880.89)*100</f>
        <v>68.86217348363587</v>
      </c>
      <c r="M15" s="35">
        <f>E15-вересень!E15</f>
        <v>0</v>
      </c>
      <c r="N15" s="35">
        <f>F15-вересень!F15</f>
        <v>60.09000000000003</v>
      </c>
      <c r="O15" s="47">
        <f t="shared" si="3"/>
        <v>60.09000000000003</v>
      </c>
      <c r="P15" s="50"/>
      <c r="Q15" s="50">
        <f>N15-358.81</f>
        <v>-298.71999999999997</v>
      </c>
      <c r="R15" s="126">
        <f>N15/358.81</f>
        <v>0.16747024887823647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57579.61</v>
      </c>
      <c r="G19" s="43">
        <f t="shared" si="0"/>
        <v>56.86000000000058</v>
      </c>
      <c r="H19" s="35">
        <f t="shared" si="4"/>
        <v>100.09884784715612</v>
      </c>
      <c r="I19" s="50">
        <f t="shared" si="1"/>
        <v>-4630.389999999999</v>
      </c>
      <c r="J19" s="178">
        <f>F19/D19*100</f>
        <v>92.5568397363768</v>
      </c>
      <c r="K19" s="179">
        <f>F19-0</f>
        <v>57579.61</v>
      </c>
      <c r="L19" s="180"/>
      <c r="M19" s="35">
        <f>E19-вересень!E19</f>
        <v>6800</v>
      </c>
      <c r="N19" s="35">
        <f>F19-вересень!F19</f>
        <v>6110.739999999998</v>
      </c>
      <c r="O19" s="47">
        <f t="shared" si="3"/>
        <v>-689.260000000002</v>
      </c>
      <c r="P19" s="50">
        <f t="shared" si="5"/>
        <v>89.86382352941173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180460.72</v>
      </c>
      <c r="G20" s="43">
        <f t="shared" si="0"/>
        <v>10266.820000000007</v>
      </c>
      <c r="H20" s="35">
        <f t="shared" si="4"/>
        <v>106.03242536894683</v>
      </c>
      <c r="I20" s="50">
        <f t="shared" si="1"/>
        <v>-9409.279999999999</v>
      </c>
      <c r="J20" s="178">
        <f aca="true" t="shared" si="6" ref="J20:J46">F20/D20*100</f>
        <v>95.04435666508664</v>
      </c>
      <c r="K20" s="178">
        <f>K21+K25+K26+K27</f>
        <v>38555.15</v>
      </c>
      <c r="L20" s="136"/>
      <c r="M20" s="35">
        <f>E20-вересень!E20</f>
        <v>16715.5</v>
      </c>
      <c r="N20" s="35">
        <f>F20-вересень!F20</f>
        <v>20354.130000000005</v>
      </c>
      <c r="O20" s="47">
        <f t="shared" si="3"/>
        <v>3638.6300000000047</v>
      </c>
      <c r="P20" s="50">
        <f t="shared" si="5"/>
        <v>121.76799976070119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99137.70999999999</v>
      </c>
      <c r="G21" s="43">
        <f t="shared" si="0"/>
        <v>2855.3099999999977</v>
      </c>
      <c r="H21" s="35">
        <f t="shared" si="4"/>
        <v>102.96555756815368</v>
      </c>
      <c r="I21" s="50">
        <f t="shared" si="1"/>
        <v>-11162.290000000008</v>
      </c>
      <c r="J21" s="178">
        <f t="shared" si="6"/>
        <v>89.88006346328196</v>
      </c>
      <c r="K21" s="178">
        <f>K22+K23+K24</f>
        <v>30433.869999999995</v>
      </c>
      <c r="L21" s="136"/>
      <c r="M21" s="35">
        <f>E21-вересень!E21</f>
        <v>10382</v>
      </c>
      <c r="N21" s="35">
        <f>F21-вересень!F21</f>
        <v>10158.39</v>
      </c>
      <c r="O21" s="47">
        <f t="shared" si="3"/>
        <v>-223.61000000000058</v>
      </c>
      <c r="P21" s="50">
        <f t="shared" si="5"/>
        <v>97.84617607397418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12380.32</v>
      </c>
      <c r="G22" s="135">
        <f t="shared" si="0"/>
        <v>1734.92</v>
      </c>
      <c r="H22" s="137">
        <f t="shared" si="4"/>
        <v>116.29736787720518</v>
      </c>
      <c r="I22" s="136">
        <f t="shared" si="1"/>
        <v>1680.3199999999997</v>
      </c>
      <c r="J22" s="136">
        <f t="shared" si="6"/>
        <v>115.70392523364485</v>
      </c>
      <c r="K22" s="136">
        <f>F22-437</f>
        <v>11943.32</v>
      </c>
      <c r="L22" s="136">
        <f>F22/437*100</f>
        <v>2833.025171624714</v>
      </c>
      <c r="M22" s="137">
        <f>E22-вересень!E22</f>
        <v>1851</v>
      </c>
      <c r="N22" s="137">
        <f>F22-вересень!F22</f>
        <v>3248.6399999999994</v>
      </c>
      <c r="O22" s="138">
        <f t="shared" si="3"/>
        <v>1397.6399999999994</v>
      </c>
      <c r="P22" s="136">
        <f t="shared" si="5"/>
        <v>175.50729335494324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3487.71</v>
      </c>
      <c r="G23" s="135">
        <f t="shared" si="0"/>
        <v>1395.71</v>
      </c>
      <c r="H23" s="137">
        <f t="shared" si="4"/>
        <v>166.71653919694074</v>
      </c>
      <c r="I23" s="136">
        <f t="shared" si="1"/>
        <v>1387.71</v>
      </c>
      <c r="J23" s="136">
        <f t="shared" si="6"/>
        <v>166.08142857142857</v>
      </c>
      <c r="K23" s="136">
        <f>F23-0</f>
        <v>3487.71</v>
      </c>
      <c r="L23" s="136"/>
      <c r="M23" s="137">
        <f>E23-вересень!E23</f>
        <v>305</v>
      </c>
      <c r="N23" s="137">
        <f>F23-вересень!F23</f>
        <v>154.07999999999993</v>
      </c>
      <c r="O23" s="138">
        <f t="shared" si="3"/>
        <v>-150.92000000000007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83269.68</v>
      </c>
      <c r="G24" s="135">
        <f t="shared" si="0"/>
        <v>-275.320000000007</v>
      </c>
      <c r="H24" s="137">
        <f t="shared" si="4"/>
        <v>99.67045304925489</v>
      </c>
      <c r="I24" s="136">
        <f t="shared" si="1"/>
        <v>-14230.320000000007</v>
      </c>
      <c r="J24" s="136">
        <f t="shared" si="6"/>
        <v>85.4048</v>
      </c>
      <c r="K24" s="224">
        <f>F24-68266.84</f>
        <v>15002.839999999997</v>
      </c>
      <c r="L24" s="224">
        <f>F24/68266.84*100</f>
        <v>121.97676060588127</v>
      </c>
      <c r="M24" s="137">
        <f>E24-вересень!E24</f>
        <v>8226</v>
      </c>
      <c r="N24" s="137">
        <f>F24-вересень!F24</f>
        <v>6755.669999999998</v>
      </c>
      <c r="O24" s="138">
        <f t="shared" si="3"/>
        <v>-1470.3300000000017</v>
      </c>
      <c r="P24" s="136">
        <f t="shared" si="5"/>
        <v>82.12582056892776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60.48</v>
      </c>
      <c r="G25" s="43">
        <f t="shared" si="0"/>
        <v>8.979999999999997</v>
      </c>
      <c r="H25" s="35">
        <f t="shared" si="4"/>
        <v>117.43689320388349</v>
      </c>
      <c r="I25" s="50">
        <f t="shared" si="1"/>
        <v>-9.520000000000003</v>
      </c>
      <c r="J25" s="178">
        <f t="shared" si="6"/>
        <v>86.4</v>
      </c>
      <c r="K25" s="178">
        <f>F25-48.79</f>
        <v>11.689999999999998</v>
      </c>
      <c r="L25" s="178">
        <f>F25/48.79*100</f>
        <v>123.95982783357245</v>
      </c>
      <c r="M25" s="35">
        <f>E25-вересень!E25</f>
        <v>10</v>
      </c>
      <c r="N25" s="35">
        <f>F25-вересень!F25</f>
        <v>4.6299999999999955</v>
      </c>
      <c r="O25" s="47">
        <f t="shared" si="3"/>
        <v>-5.3700000000000045</v>
      </c>
      <c r="P25" s="50">
        <f t="shared" si="5"/>
        <v>46.299999999999955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-738.99</v>
      </c>
      <c r="G26" s="43">
        <f t="shared" si="0"/>
        <v>-738.99</v>
      </c>
      <c r="H26" s="35"/>
      <c r="I26" s="50">
        <f t="shared" si="1"/>
        <v>-738.99</v>
      </c>
      <c r="J26" s="136"/>
      <c r="K26" s="178">
        <f>F26-5295.66</f>
        <v>-6034.65</v>
      </c>
      <c r="L26" s="178">
        <f>F26/5295.66*100</f>
        <v>-13.95463454980116</v>
      </c>
      <c r="M26" s="35">
        <f>E26-вересень!E26</f>
        <v>0</v>
      </c>
      <c r="N26" s="35">
        <f>F26-вересень!F26</f>
        <v>-33.00999999999999</v>
      </c>
      <c r="O26" s="47">
        <f t="shared" si="3"/>
        <v>-33.00999999999999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82001.52</v>
      </c>
      <c r="G27" s="43">
        <f t="shared" si="0"/>
        <v>8141.520000000004</v>
      </c>
      <c r="H27" s="35">
        <f t="shared" si="4"/>
        <v>111.02290820471161</v>
      </c>
      <c r="I27" s="50">
        <f t="shared" si="1"/>
        <v>2501.520000000004</v>
      </c>
      <c r="J27" s="178">
        <f t="shared" si="6"/>
        <v>103.14656603773587</v>
      </c>
      <c r="K27" s="132">
        <f>F27-67857.28</f>
        <v>14144.240000000005</v>
      </c>
      <c r="L27" s="132">
        <f>F27/67857.28*100</f>
        <v>120.84410103086951</v>
      </c>
      <c r="M27" s="35">
        <f>E27-вересень!E27</f>
        <v>6323.5</v>
      </c>
      <c r="N27" s="35">
        <f>F27-вересень!F27</f>
        <v>10224.12000000001</v>
      </c>
      <c r="O27" s="47">
        <f t="shared" si="3"/>
        <v>3900.62000000001</v>
      </c>
      <c r="P27" s="50">
        <f t="shared" si="5"/>
        <v>161.68451016051253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19705.89</v>
      </c>
      <c r="G29" s="135">
        <f t="shared" si="0"/>
        <v>1625.8899999999994</v>
      </c>
      <c r="H29" s="137">
        <f t="shared" si="4"/>
        <v>108.99275442477875</v>
      </c>
      <c r="I29" s="136">
        <f t="shared" si="1"/>
        <v>505.8899999999994</v>
      </c>
      <c r="J29" s="136">
        <f t="shared" si="6"/>
        <v>102.63484375</v>
      </c>
      <c r="K29" s="139">
        <f>F29-18415.97</f>
        <v>1289.9199999999983</v>
      </c>
      <c r="L29" s="139">
        <f>F29/18415.97*100</f>
        <v>107.00435545887616</v>
      </c>
      <c r="M29" s="137">
        <f>E29-вересень!E29</f>
        <v>1300</v>
      </c>
      <c r="N29" s="137">
        <f>F29-вересень!F29</f>
        <v>1966.130000000001</v>
      </c>
      <c r="O29" s="138">
        <f t="shared" si="3"/>
        <v>666.130000000001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62267.91</v>
      </c>
      <c r="G30" s="135">
        <f t="shared" si="0"/>
        <v>6487.9100000000035</v>
      </c>
      <c r="H30" s="137">
        <f t="shared" si="4"/>
        <v>111.63124775905342</v>
      </c>
      <c r="I30" s="136">
        <f t="shared" si="1"/>
        <v>1967.9100000000035</v>
      </c>
      <c r="J30" s="136">
        <f t="shared" si="6"/>
        <v>103.26353233830847</v>
      </c>
      <c r="K30" s="139">
        <f>F30-49440.11</f>
        <v>12827.800000000003</v>
      </c>
      <c r="L30" s="139">
        <f>F30/49440.11*100</f>
        <v>125.94613968294166</v>
      </c>
      <c r="M30" s="137">
        <f>E30-вересень!E30</f>
        <v>5023.5</v>
      </c>
      <c r="N30" s="137">
        <f>F30-вересень!F30</f>
        <v>8251.940000000002</v>
      </c>
      <c r="O30" s="138">
        <f t="shared" si="3"/>
        <v>3228.4400000000023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5585.51</v>
      </c>
      <c r="G32" s="43">
        <f t="shared" si="0"/>
        <v>-173.78999999999996</v>
      </c>
      <c r="H32" s="35">
        <f t="shared" si="4"/>
        <v>96.98244578334173</v>
      </c>
      <c r="I32" s="50">
        <f t="shared" si="1"/>
        <v>-1914.4899999999998</v>
      </c>
      <c r="J32" s="178">
        <f t="shared" si="6"/>
        <v>74.47346666666667</v>
      </c>
      <c r="K32" s="178">
        <f>F32-7378.96</f>
        <v>-1793.4499999999998</v>
      </c>
      <c r="L32" s="178">
        <f>F32/7378.96*100</f>
        <v>75.69508440213797</v>
      </c>
      <c r="M32" s="35">
        <f>E32-вересень!E32</f>
        <v>6.900000000000546</v>
      </c>
      <c r="N32" s="35">
        <f>F32-вересень!F32</f>
        <v>6.329999999999927</v>
      </c>
      <c r="O32" s="47">
        <f t="shared" si="3"/>
        <v>-0.5700000000006185</v>
      </c>
      <c r="P32" s="50">
        <f t="shared" si="5"/>
        <v>91.7391304347743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34993.74999999999</v>
      </c>
      <c r="G33" s="44">
        <f t="shared" si="0"/>
        <v>2443.4799999999923</v>
      </c>
      <c r="H33" s="45">
        <f aca="true" t="shared" si="7" ref="H33:H38">F33/E33*100</f>
        <v>107.50678873017026</v>
      </c>
      <c r="I33" s="31">
        <f t="shared" si="1"/>
        <v>-645.820000000007</v>
      </c>
      <c r="J33" s="31">
        <f t="shared" si="6"/>
        <v>98.18791304159953</v>
      </c>
      <c r="K33" s="18">
        <f>K34+K35+K36+K37+K38+K41+K42+K47+K48+K52+K40</f>
        <v>24209.58</v>
      </c>
      <c r="L33" s="18"/>
      <c r="M33" s="18">
        <f>M34+M35+M36+M37+M38+M41+M42+M47+M48+M52+M40+M39</f>
        <v>5900.27</v>
      </c>
      <c r="N33" s="18">
        <f>N34+N35+N36+N37+N38+N41+N42+N47+N48+N52+N40+N39</f>
        <v>6749.12</v>
      </c>
      <c r="O33" s="49">
        <f t="shared" si="3"/>
        <v>848.8499999999995</v>
      </c>
      <c r="P33" s="31">
        <f>N33/M33*100</f>
        <v>114.3866297644006</v>
      </c>
      <c r="Q33" s="31">
        <f>N33-1017.63</f>
        <v>5731.49</v>
      </c>
      <c r="R33" s="127">
        <f>N33/1017.63</f>
        <v>6.632194412507493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8344.22</v>
      </c>
      <c r="G40" s="43">
        <f t="shared" si="0"/>
        <v>-492.78000000000065</v>
      </c>
      <c r="H40" s="35">
        <f aca="true" t="shared" si="8" ref="H40:H46">F40/E40*100</f>
        <v>94.4236731922598</v>
      </c>
      <c r="I40" s="50">
        <f t="shared" si="1"/>
        <v>-655.7800000000007</v>
      </c>
      <c r="J40" s="50"/>
      <c r="K40" s="50">
        <f>F40-0</f>
        <v>8344.22</v>
      </c>
      <c r="L40" s="50"/>
      <c r="M40" s="35">
        <f>E40-вересень!E40</f>
        <v>900</v>
      </c>
      <c r="N40" s="35">
        <f>F40-вересень!F40</f>
        <v>738.7599999999993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6171.35</v>
      </c>
      <c r="G42" s="43">
        <f t="shared" si="0"/>
        <v>-219.94999999999982</v>
      </c>
      <c r="H42" s="35">
        <f t="shared" si="8"/>
        <v>96.55860310109054</v>
      </c>
      <c r="I42" s="50">
        <f t="shared" si="1"/>
        <v>-928.6499999999996</v>
      </c>
      <c r="J42" s="50">
        <f t="shared" si="6"/>
        <v>86.92042253521127</v>
      </c>
      <c r="K42" s="50">
        <f>F42-865.17</f>
        <v>5306.18</v>
      </c>
      <c r="L42" s="50">
        <f>F42/865.17*100</f>
        <v>713.3106788261267</v>
      </c>
      <c r="M42" s="35">
        <f>E42-вересень!E42</f>
        <v>592.3000000000002</v>
      </c>
      <c r="N42" s="35">
        <f>F42-вересень!F42</f>
        <v>449.40000000000055</v>
      </c>
      <c r="O42" s="47">
        <f t="shared" si="3"/>
        <v>-142.89999999999964</v>
      </c>
      <c r="P42" s="50">
        <f>N42/M42*100</f>
        <v>75.87371264561884</v>
      </c>
      <c r="Q42" s="50">
        <f>N42-79.51</f>
        <v>369.89000000000055</v>
      </c>
      <c r="R42" s="126">
        <f>N42/79.51</f>
        <v>5.652119230285505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883.26</v>
      </c>
      <c r="G43" s="135">
        <f t="shared" si="0"/>
        <v>-26.74000000000001</v>
      </c>
      <c r="H43" s="35">
        <f t="shared" si="8"/>
        <v>97.06153846153846</v>
      </c>
      <c r="I43" s="136">
        <f t="shared" si="1"/>
        <v>-216.74</v>
      </c>
      <c r="J43" s="136">
        <f t="shared" si="6"/>
        <v>80.29636363636364</v>
      </c>
      <c r="K43" s="136">
        <f>F43-757.36</f>
        <v>125.89999999999998</v>
      </c>
      <c r="L43" s="136">
        <f>F43/757.36*100</f>
        <v>116.62353438259217</v>
      </c>
      <c r="M43" s="137">
        <f>E43-вересень!E43</f>
        <v>70</v>
      </c>
      <c r="N43" s="137">
        <f>F43-вересень!F43</f>
        <v>81.41999999999996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5243.23</v>
      </c>
      <c r="G46" s="135">
        <f t="shared" si="0"/>
        <v>-166.77000000000044</v>
      </c>
      <c r="H46" s="35">
        <f t="shared" si="8"/>
        <v>96.9173752310536</v>
      </c>
      <c r="I46" s="136">
        <f t="shared" si="1"/>
        <v>-674.7700000000004</v>
      </c>
      <c r="J46" s="136">
        <f t="shared" si="6"/>
        <v>88.59800608313618</v>
      </c>
      <c r="K46" s="136">
        <f>F46-107.81</f>
        <v>5135.419999999999</v>
      </c>
      <c r="L46" s="136">
        <f>F46/107.81*100</f>
        <v>4863.398571561079</v>
      </c>
      <c r="M46" s="137">
        <f>E46-вересень!E46</f>
        <v>512</v>
      </c>
      <c r="N46" s="137">
        <f>F46-вересень!F46</f>
        <v>367.9399999999996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3978.6</v>
      </c>
      <c r="G48" s="43">
        <f t="shared" si="0"/>
        <v>528.5999999999999</v>
      </c>
      <c r="H48" s="35">
        <f>F48/E48*100</f>
        <v>115.32173913043478</v>
      </c>
      <c r="I48" s="50">
        <f t="shared" si="1"/>
        <v>-221.4000000000001</v>
      </c>
      <c r="J48" s="50">
        <f>F48/D48*100</f>
        <v>94.72857142857143</v>
      </c>
      <c r="K48" s="50">
        <f>F48-3446.94</f>
        <v>531.6599999999999</v>
      </c>
      <c r="L48" s="50">
        <f>F48/3446.94*100</f>
        <v>115.4241153022681</v>
      </c>
      <c r="M48" s="35">
        <f>E48-вересень!E48</f>
        <v>360</v>
      </c>
      <c r="N48" s="35">
        <f>F48-вересень!F48</f>
        <v>407.1500000000001</v>
      </c>
      <c r="O48" s="47">
        <f t="shared" si="3"/>
        <v>47.15000000000009</v>
      </c>
      <c r="P48" s="50">
        <f aca="true" t="shared" si="9" ref="P48:P53">N48/M48*100</f>
        <v>113.09722222222224</v>
      </c>
      <c r="Q48" s="50">
        <f>N48-277.38</f>
        <v>129.7700000000001</v>
      </c>
      <c r="R48" s="126">
        <f>N48/277.38</f>
        <v>1.4678419496719306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1042.5</v>
      </c>
      <c r="G51" s="135">
        <f t="shared" si="0"/>
        <v>1042.5</v>
      </c>
      <c r="H51" s="137"/>
      <c r="I51" s="136">
        <f t="shared" si="1"/>
        <v>1042.5</v>
      </c>
      <c r="J51" s="136"/>
      <c r="K51" s="219">
        <f>F51-838.39</f>
        <v>204.11</v>
      </c>
      <c r="L51" s="219">
        <f>F51/838.39*100</f>
        <v>124.34547167785877</v>
      </c>
      <c r="M51" s="35">
        <f>E51-вересень!E51</f>
        <v>0</v>
      </c>
      <c r="N51" s="35">
        <f>F51-вересень!F51</f>
        <v>63.299999999999955</v>
      </c>
      <c r="O51" s="138">
        <f t="shared" si="3"/>
        <v>63.299999999999955</v>
      </c>
      <c r="P51" s="136"/>
      <c r="Q51" s="50">
        <f>N51-64.93</f>
        <v>-1.6300000000000523</v>
      </c>
      <c r="R51" s="126">
        <f>N51/64.93</f>
        <v>0.9748960418912667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571542.0900000001</v>
      </c>
      <c r="G55" s="44">
        <f>F55-E55</f>
        <v>35444.75000000012</v>
      </c>
      <c r="H55" s="45">
        <f>F55/E55*100</f>
        <v>106.61162579168928</v>
      </c>
      <c r="I55" s="31">
        <f>F55-D55</f>
        <v>-36412.979999999865</v>
      </c>
      <c r="J55" s="31">
        <f>F55/D55*100</f>
        <v>94.01058042003008</v>
      </c>
      <c r="K55" s="31">
        <f>K8+K33+K53+K54</f>
        <v>159510.998</v>
      </c>
      <c r="L55" s="31">
        <f>F55/(F55-K55)*100</f>
        <v>138.71334010880906</v>
      </c>
      <c r="M55" s="18">
        <f>M8+M33+M53+M54</f>
        <v>50675.44</v>
      </c>
      <c r="N55" s="18">
        <f>N8+N33+N53+N54</f>
        <v>62403.48000000003</v>
      </c>
      <c r="O55" s="49">
        <f>N55-M55</f>
        <v>11728.04000000003</v>
      </c>
      <c r="P55" s="31">
        <f>N55/M55*100</f>
        <v>123.14343989909122</v>
      </c>
      <c r="Q55" s="31">
        <f>N55-34768</f>
        <v>27635.480000000032</v>
      </c>
      <c r="R55" s="171">
        <f>N55/34768</f>
        <v>1.7948538886332268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9684.73</v>
      </c>
      <c r="G67" s="55">
        <f t="shared" si="10"/>
        <v>15.850000000000364</v>
      </c>
      <c r="H67" s="65">
        <f>F67/E67*100</f>
        <v>100.16392798338588</v>
      </c>
      <c r="I67" s="54">
        <f t="shared" si="11"/>
        <v>-7391.27</v>
      </c>
      <c r="J67" s="54">
        <f t="shared" si="13"/>
        <v>56.715448582806275</v>
      </c>
      <c r="K67" s="54">
        <f>K64+K65+K66</f>
        <v>4033.8199999999997</v>
      </c>
      <c r="L67" s="54"/>
      <c r="M67" s="55">
        <f>M64+M65+M66</f>
        <v>1421.9199999999998</v>
      </c>
      <c r="N67" s="55">
        <f>N64+N65+N66</f>
        <v>3244.9199999999996</v>
      </c>
      <c r="O67" s="54">
        <f t="shared" si="12"/>
        <v>1822.9999999999998</v>
      </c>
      <c r="P67" s="54">
        <f>N67/M67*100</f>
        <v>228.20693147293798</v>
      </c>
      <c r="Q67" s="54">
        <f>N67-7985.28</f>
        <v>-4740.360000000001</v>
      </c>
      <c r="R67" s="173">
        <f>N67/7985.28</f>
        <v>0.4063627073815821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1.02</v>
      </c>
      <c r="G70" s="43">
        <f>F70-E70</f>
        <v>1.02</v>
      </c>
      <c r="H70" s="35"/>
      <c r="I70" s="53">
        <f>F70-D70</f>
        <v>1.02</v>
      </c>
      <c r="J70" s="53"/>
      <c r="K70" s="53">
        <f>F70-1.29</f>
        <v>-0.27</v>
      </c>
      <c r="L70" s="53">
        <f>F70/1.29*100</f>
        <v>79.06976744186046</v>
      </c>
      <c r="M70" s="35">
        <f>E70-вересень!E70</f>
        <v>0</v>
      </c>
      <c r="N70" s="35">
        <f>F70-вересень!F70</f>
        <v>0.020000000000000018</v>
      </c>
      <c r="O70" s="47">
        <f>N70-M70</f>
        <v>0.020000000000000018</v>
      </c>
      <c r="P70" s="53"/>
      <c r="Q70" s="53">
        <f>N70-(-0.21)</f>
        <v>0.23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1.37</v>
      </c>
      <c r="G71" s="55">
        <f>F71-E71</f>
        <v>-47.63</v>
      </c>
      <c r="H71" s="65">
        <f>F71/E71*100</f>
        <v>2.795918367346939</v>
      </c>
      <c r="I71" s="54">
        <f>F71-D71</f>
        <v>-52.63</v>
      </c>
      <c r="J71" s="54">
        <f>F71/D71*100</f>
        <v>2.537037037037037</v>
      </c>
      <c r="K71" s="54">
        <f>K68+K69+K70</f>
        <v>-54.410000000000004</v>
      </c>
      <c r="L71" s="54"/>
      <c r="M71" s="55">
        <f>M68+M70+M69</f>
        <v>12</v>
      </c>
      <c r="N71" s="55">
        <f>N68+N70+N69</f>
        <v>0.020000000000000018</v>
      </c>
      <c r="O71" s="54">
        <f>N71-M71</f>
        <v>-11.98</v>
      </c>
      <c r="P71" s="54"/>
      <c r="Q71" s="54">
        <f>N71-26.38</f>
        <v>-26.36</v>
      </c>
      <c r="R71" s="128">
        <f>N71/26.38</f>
        <v>0.0007581501137225178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9661.570000000002</v>
      </c>
      <c r="G74" s="44">
        <f>F74-E74</f>
        <v>-89.72999999999774</v>
      </c>
      <c r="H74" s="45">
        <f>F74/E74*100</f>
        <v>99.0798149990258</v>
      </c>
      <c r="I74" s="31">
        <f>F74-D74</f>
        <v>-7510.4299999999985</v>
      </c>
      <c r="J74" s="31">
        <f>F74/D74*100</f>
        <v>56.26351036571163</v>
      </c>
      <c r="K74" s="31">
        <f>K62+K67+K71+K72</f>
        <v>3658.3999999999996</v>
      </c>
      <c r="L74" s="31"/>
      <c r="M74" s="27">
        <f>M62+M72+M67+M71</f>
        <v>1435.12</v>
      </c>
      <c r="N74" s="27">
        <f>N62+N72+N67+N71+N73</f>
        <v>3242.6899999999996</v>
      </c>
      <c r="O74" s="31">
        <f>N74-M74</f>
        <v>1807.5699999999997</v>
      </c>
      <c r="P74" s="31">
        <f>N74/M74*100</f>
        <v>225.9525335860416</v>
      </c>
      <c r="Q74" s="31">
        <f>N74-8104.96</f>
        <v>-4862.27</v>
      </c>
      <c r="R74" s="127">
        <f>N74/8104.96</f>
        <v>0.40008710715413764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581203.66</v>
      </c>
      <c r="G75" s="44">
        <f>F75-E75</f>
        <v>35355.02000000002</v>
      </c>
      <c r="H75" s="45">
        <f>F75/E75*100</f>
        <v>106.47707393756629</v>
      </c>
      <c r="I75" s="31">
        <f>F75-D75</f>
        <v>-43923.409999999916</v>
      </c>
      <c r="J75" s="31">
        <f>F75/D75*100</f>
        <v>92.97368293457522</v>
      </c>
      <c r="K75" s="31">
        <f>K55+K74</f>
        <v>163169.398</v>
      </c>
      <c r="L75" s="31">
        <f>F75/(F75-K75)*100</f>
        <v>139.0325417872088</v>
      </c>
      <c r="M75" s="18">
        <f>M55+M74</f>
        <v>52110.560000000005</v>
      </c>
      <c r="N75" s="18">
        <f>N55+N74</f>
        <v>65646.17000000003</v>
      </c>
      <c r="O75" s="31">
        <f>N75-M75</f>
        <v>13535.610000000022</v>
      </c>
      <c r="P75" s="31">
        <f>N75/M75*100</f>
        <v>125.97479282510113</v>
      </c>
      <c r="Q75" s="31">
        <f>N75-42872.96</f>
        <v>22773.21000000003</v>
      </c>
      <c r="R75" s="127">
        <f>N75/42872.96</f>
        <v>1.5311788595888884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42306</v>
      </c>
      <c r="D79" s="34">
        <v>6844.5</v>
      </c>
      <c r="G79" s="4" t="s">
        <v>166</v>
      </c>
      <c r="N79" s="236"/>
      <c r="O79" s="236"/>
    </row>
    <row r="80" spans="3:15" ht="15.75">
      <c r="C80" s="111">
        <v>42305</v>
      </c>
      <c r="D80" s="34">
        <v>4690.4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42304</v>
      </c>
      <c r="D81" s="34">
        <v>4425.5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54.23046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2015-10-30T08:43:49Z</cp:lastPrinted>
  <dcterms:created xsi:type="dcterms:W3CDTF">2003-07-28T11:27:56Z</dcterms:created>
  <dcterms:modified xsi:type="dcterms:W3CDTF">2015-10-30T09:23:28Z</dcterms:modified>
  <cp:category/>
  <cp:version/>
  <cp:contentType/>
  <cp:contentStatus/>
</cp:coreProperties>
</file>